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troyr\Downloads\"/>
    </mc:Choice>
  </mc:AlternateContent>
  <xr:revisionPtr revIDLastSave="0" documentId="13_ncr:1_{BFC60488-0DE6-4CF6-BE2A-6862043FE029}" xr6:coauthVersionLast="47" xr6:coauthVersionMax="47" xr10:uidLastSave="{00000000-0000-0000-0000-000000000000}"/>
  <bookViews>
    <workbookView xWindow="28680" yWindow="-120" windowWidth="29040" windowHeight="15720" xr2:uid="{33A884AF-7A56-4D34-836C-67DEC903C3E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I20" i="1" l="1"/>
  <c r="I38" i="1"/>
  <c r="G29" i="1"/>
  <c r="H29" i="1"/>
  <c r="I29" i="1"/>
  <c r="K29" i="1" s="1"/>
  <c r="I30" i="1"/>
  <c r="H17" i="1"/>
  <c r="I17" i="1"/>
  <c r="G17" i="1"/>
  <c r="L37" i="1"/>
  <c r="M37" i="1"/>
  <c r="N37" i="1"/>
  <c r="K37" i="1"/>
  <c r="H27" i="1"/>
  <c r="I27" i="1"/>
  <c r="G27" i="1"/>
  <c r="M27" i="1" s="1"/>
  <c r="I25" i="1"/>
  <c r="H25" i="1"/>
  <c r="C11" i="1"/>
  <c r="C13" i="1" s="1"/>
  <c r="C21" i="1" s="1"/>
  <c r="C16" i="1"/>
  <c r="C18" i="1" s="1"/>
  <c r="C7" i="1"/>
  <c r="C23" i="1" s="1"/>
  <c r="J30" i="1" l="1"/>
  <c r="K30" i="1" s="1"/>
  <c r="J29" i="1"/>
  <c r="N29" i="1"/>
  <c r="M29" i="1"/>
  <c r="L29" i="1"/>
  <c r="K25" i="1"/>
  <c r="J27" i="1"/>
  <c r="L27" i="1"/>
  <c r="N27" i="1"/>
  <c r="K27" i="1"/>
  <c r="I7" i="1"/>
  <c r="J25" i="1"/>
  <c r="J6" i="1" s="1"/>
  <c r="N25" i="1"/>
  <c r="M25" i="1"/>
  <c r="L25" i="1"/>
  <c r="C32" i="1"/>
  <c r="J34" i="1" s="1"/>
  <c r="C20" i="1"/>
  <c r="C22" i="1" s="1"/>
  <c r="L30" i="1" l="1"/>
  <c r="M30" i="1" s="1"/>
  <c r="N30" i="1" s="1"/>
  <c r="K6" i="1"/>
  <c r="J20" i="1"/>
  <c r="J18" i="1"/>
  <c r="K34" i="1"/>
  <c r="L34" i="1" s="1"/>
  <c r="M34" i="1" s="1"/>
  <c r="N34" i="1" s="1"/>
  <c r="J33" i="1"/>
  <c r="L6" i="1"/>
  <c r="I9" i="1"/>
  <c r="I11" i="1" s="1"/>
  <c r="I26" i="1"/>
  <c r="J26" i="1" s="1"/>
  <c r="K26" i="1" s="1"/>
  <c r="L26" i="1" s="1"/>
  <c r="M26" i="1" s="1"/>
  <c r="N26" i="1" s="1"/>
  <c r="J8" i="1"/>
  <c r="J17" i="1" s="1"/>
  <c r="C24" i="1"/>
  <c r="R5" i="1" s="1"/>
  <c r="C27" i="1"/>
  <c r="C29" i="1" s="1"/>
  <c r="C33" i="1" s="1"/>
  <c r="C34" i="1" l="1"/>
  <c r="C35" i="1" s="1"/>
  <c r="M6" i="1"/>
  <c r="L18" i="1"/>
  <c r="L20" i="1"/>
  <c r="K20" i="1"/>
  <c r="K18" i="1"/>
  <c r="J38" i="1"/>
  <c r="J7" i="1"/>
  <c r="J9" i="1" s="1"/>
  <c r="I28" i="1"/>
  <c r="J28" i="1" s="1"/>
  <c r="K28" i="1" s="1"/>
  <c r="L28" i="1" s="1"/>
  <c r="M28" i="1" s="1"/>
  <c r="N28" i="1" s="1"/>
  <c r="I13" i="1"/>
  <c r="I16" i="1" s="1"/>
  <c r="K8" i="1"/>
  <c r="K17" i="1" s="1"/>
  <c r="K7" i="1"/>
  <c r="J10" i="1" l="1"/>
  <c r="J11" i="1" s="1"/>
  <c r="J12" i="1" s="1"/>
  <c r="J13" i="1" s="1"/>
  <c r="J16" i="1" s="1"/>
  <c r="J21" i="1" s="1"/>
  <c r="J35" i="1" s="1"/>
  <c r="J36" i="1" s="1"/>
  <c r="J39" i="1"/>
  <c r="N6" i="1"/>
  <c r="M18" i="1"/>
  <c r="M20" i="1"/>
  <c r="K9" i="1"/>
  <c r="L7" i="1"/>
  <c r="L8" i="1"/>
  <c r="L17" i="1" s="1"/>
  <c r="K33" i="1" l="1"/>
  <c r="J22" i="1"/>
  <c r="N18" i="1"/>
  <c r="N20" i="1"/>
  <c r="L9" i="1"/>
  <c r="M7" i="1"/>
  <c r="M8" i="1"/>
  <c r="M17" i="1" s="1"/>
  <c r="K38" i="1" l="1"/>
  <c r="K39" i="1" s="1"/>
  <c r="M9" i="1"/>
  <c r="N7" i="1"/>
  <c r="R6" i="1" s="1"/>
  <c r="R7" i="1" s="1"/>
  <c r="N8" i="1"/>
  <c r="N17" i="1" s="1"/>
  <c r="K10" i="1" l="1"/>
  <c r="K11" i="1" s="1"/>
  <c r="K12" i="1" s="1"/>
  <c r="K13" i="1" s="1"/>
  <c r="K16" i="1" s="1"/>
  <c r="K21" i="1" s="1"/>
  <c r="K35" i="1" s="1"/>
  <c r="K36" i="1" s="1"/>
  <c r="N9" i="1"/>
  <c r="L33" i="1" l="1"/>
  <c r="K22" i="1"/>
  <c r="L38" i="1" l="1"/>
  <c r="L39" i="1" l="1"/>
  <c r="L10" i="1"/>
  <c r="L11" i="1" s="1"/>
  <c r="L12" i="1" s="1"/>
  <c r="L13" i="1" s="1"/>
  <c r="L16" i="1" s="1"/>
  <c r="L21" i="1" s="1"/>
  <c r="L22" i="1" l="1"/>
  <c r="L35" i="1"/>
  <c r="L36" i="1" s="1"/>
  <c r="M33" i="1" s="1"/>
  <c r="M38" i="1" l="1"/>
  <c r="M10" i="1" l="1"/>
  <c r="M11" i="1" s="1"/>
  <c r="M12" i="1" s="1"/>
  <c r="M13" i="1" s="1"/>
  <c r="M16" i="1" s="1"/>
  <c r="M21" i="1" s="1"/>
  <c r="M39" i="1"/>
  <c r="M22" i="1" l="1"/>
  <c r="M35" i="1"/>
  <c r="M36" i="1" s="1"/>
  <c r="N33" i="1" l="1"/>
  <c r="N38" i="1" l="1"/>
  <c r="N10" i="1" l="1"/>
  <c r="N11" i="1" s="1"/>
  <c r="N12" i="1" s="1"/>
  <c r="N13" i="1" s="1"/>
  <c r="N16" i="1" s="1"/>
  <c r="N21" i="1" s="1"/>
  <c r="N39" i="1"/>
  <c r="N35" i="1" l="1"/>
  <c r="N36" i="1" s="1"/>
  <c r="R8" i="1" s="1"/>
  <c r="R9" i="1" s="1"/>
  <c r="R10" i="1" s="1"/>
  <c r="R11" i="1" s="1"/>
  <c r="N22" i="1"/>
  <c r="P27" i="1" l="1"/>
  <c r="P14" i="1"/>
  <c r="P20" i="1"/>
</calcChain>
</file>

<file path=xl/sharedStrings.xml><?xml version="1.0" encoding="utf-8"?>
<sst xmlns="http://schemas.openxmlformats.org/spreadsheetml/2006/main" count="83" uniqueCount="74">
  <si>
    <t>Dollar General</t>
  </si>
  <si>
    <t>NYSE: DG</t>
  </si>
  <si>
    <t>Market Cap</t>
  </si>
  <si>
    <t>Share Price</t>
  </si>
  <si>
    <t>Notes</t>
  </si>
  <si>
    <t>share price was technically 5/13/26 closing (did this in the early morning)</t>
  </si>
  <si>
    <t>Net Income</t>
  </si>
  <si>
    <t>Interest Expense</t>
  </si>
  <si>
    <t>D&amp;A</t>
  </si>
  <si>
    <t>Income Tax Expense</t>
  </si>
  <si>
    <t>EBITDA</t>
  </si>
  <si>
    <t>($ in Thousands, Except Per Share Amounts in Dollars or If Specified)</t>
  </si>
  <si>
    <t xml:space="preserve">Oustanding Shares </t>
  </si>
  <si>
    <t>Equity Value</t>
  </si>
  <si>
    <t>Cash &amp; Cash Equivalents</t>
  </si>
  <si>
    <t>Long-term obligations</t>
  </si>
  <si>
    <t>Total Debt</t>
  </si>
  <si>
    <t>Current portion of LTD</t>
  </si>
  <si>
    <t>Net Debt</t>
  </si>
  <si>
    <t>EV</t>
  </si>
  <si>
    <t>Entry Multiple</t>
  </si>
  <si>
    <t>Debt/EBITDA</t>
  </si>
  <si>
    <t>assumption color</t>
  </si>
  <si>
    <t>New Debt</t>
  </si>
  <si>
    <t>Uses &amp; Sources</t>
  </si>
  <si>
    <t>Transaction Fees</t>
  </si>
  <si>
    <t>Total Uses</t>
  </si>
  <si>
    <t>Total Sources</t>
  </si>
  <si>
    <t>Leverage %</t>
  </si>
  <si>
    <t>Entry Multiple Calcuations</t>
  </si>
  <si>
    <t>EBIT</t>
  </si>
  <si>
    <t>EBT</t>
  </si>
  <si>
    <t>Assumptions</t>
  </si>
  <si>
    <t>Historical</t>
  </si>
  <si>
    <t>Projected</t>
  </si>
  <si>
    <t>Revenue</t>
  </si>
  <si>
    <t>Revenue Growth %</t>
  </si>
  <si>
    <t>Income Tax Expense (% EBT)</t>
  </si>
  <si>
    <t>D&amp;A (% Revenue)</t>
  </si>
  <si>
    <t>EBITDA (% Revenue)</t>
  </si>
  <si>
    <t>Interest Rate</t>
  </si>
  <si>
    <t>Beginning Debt</t>
  </si>
  <si>
    <t>Ending Debt</t>
  </si>
  <si>
    <t>Debt Schedule</t>
  </si>
  <si>
    <t>Projected FCF</t>
  </si>
  <si>
    <t>CapEx</t>
  </si>
  <si>
    <t>ΔNet Working Capital</t>
  </si>
  <si>
    <t>Levered FCF</t>
  </si>
  <si>
    <t>CapEx (% Revenue)</t>
  </si>
  <si>
    <t>Net Working Capital</t>
  </si>
  <si>
    <t>net working capital was taken from current assets - current liabilites from b/s, excluding cash &amp; debt</t>
  </si>
  <si>
    <t>ΔNWC (% Revenue)</t>
  </si>
  <si>
    <t>Exit Calculation</t>
  </si>
  <si>
    <t>Exit Multiple</t>
  </si>
  <si>
    <t>Exit EBITDA</t>
  </si>
  <si>
    <t>Exit EV</t>
  </si>
  <si>
    <t>Exit Equity</t>
  </si>
  <si>
    <t>IRR</t>
  </si>
  <si>
    <t>MOIC</t>
  </si>
  <si>
    <t>Remaining Debt</t>
  </si>
  <si>
    <t>Entry Equity</t>
  </si>
  <si>
    <t>Projected I/S</t>
  </si>
  <si>
    <t>IRR Sensitivity Table 2 (Debt/EBITDA vs Exit Multiple)</t>
  </si>
  <si>
    <t>Acquisition Premium</t>
  </si>
  <si>
    <t>important info color</t>
  </si>
  <si>
    <t>IRR Sensitivity Table 1 (Acq. Premium vs Exit Multiple)</t>
  </si>
  <si>
    <t>IRR Sensitivity Table 3 (Debt/EBITDA vs Acq. Premium)</t>
  </si>
  <si>
    <t>Interest Coverage Ratio</t>
  </si>
  <si>
    <t>FCF Conversion</t>
  </si>
  <si>
    <t>Cash Sweep</t>
  </si>
  <si>
    <t>Mandatory Amortization</t>
  </si>
  <si>
    <t>might have wrong interpretation of cash sweep, feel free to let me know @ troy@iwilldoyourdcf.com</t>
  </si>
  <si>
    <t>Supplemental Information (2025)</t>
  </si>
  <si>
    <t>ΔNWC tapers to 0 linearly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</si>
</sst>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%"/>
    <numFmt numFmtId="165" formatCode="_(&quot;$&quot;* #,##0_);_(&quot;$&quot;* \(#,##0\);_(&quot;$&quot;* &quot;-&quot;??_);_(@_)"/>
    <numFmt numFmtId="166" formatCode="0.000\x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Times New Roman"/>
      <family val="1"/>
    </font>
    <font>
      <sz val="11"/>
      <color theme="1"/>
      <name val="Times New Roman"/>
      <family val="2"/>
    </font>
    <font>
      <sz val="10"/>
      <name val="Arial"/>
      <family val="2"/>
    </font>
    <font>
      <b/>
      <sz val="11"/>
      <color theme="0"/>
      <name val="Times New Roman"/>
      <family val="1"/>
    </font>
    <font>
      <b/>
      <sz val="11"/>
      <color theme="1"/>
      <name val="Times New Roman"/>
      <family val="1"/>
    </font>
    <font>
      <sz val="11"/>
      <color theme="0"/>
      <name val="Times New Roman"/>
      <family val="1"/>
    </font>
    <font>
      <b/>
      <sz val="11"/>
      <color rgb="FFFFFFFF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002060"/>
        <bgColor rgb="FF000000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</cellStyleXfs>
  <cellXfs count="110">
    <xf numFmtId="0" fontId="0" fillId="0" borderId="0" xfId="0"/>
    <xf numFmtId="0" fontId="2" fillId="0" borderId="0" xfId="0" applyFont="1"/>
    <xf numFmtId="0" fontId="3" fillId="0" borderId="0" xfId="3"/>
    <xf numFmtId="0" fontId="6" fillId="0" borderId="0" xfId="0" applyFont="1"/>
    <xf numFmtId="14" fontId="6" fillId="0" borderId="0" xfId="0" applyNumberFormat="1" applyFont="1"/>
    <xf numFmtId="0" fontId="2" fillId="5" borderId="0" xfId="0" applyFont="1" applyFill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2" fillId="0" borderId="5" xfId="0" applyFont="1" applyBorder="1"/>
    <xf numFmtId="165" fontId="2" fillId="0" borderId="0" xfId="1" applyNumberFormat="1" applyFont="1" applyBorder="1"/>
    <xf numFmtId="165" fontId="2" fillId="0" borderId="5" xfId="1" applyNumberFormat="1" applyFont="1" applyBorder="1"/>
    <xf numFmtId="10" fontId="2" fillId="0" borderId="0" xfId="2" applyNumberFormat="1" applyFont="1" applyBorder="1"/>
    <xf numFmtId="10" fontId="2" fillId="0" borderId="0" xfId="0" applyNumberFormat="1" applyFont="1"/>
    <xf numFmtId="10" fontId="2" fillId="0" borderId="5" xfId="0" applyNumberFormat="1" applyFont="1" applyBorder="1"/>
    <xf numFmtId="165" fontId="2" fillId="0" borderId="5" xfId="0" applyNumberFormat="1" applyFont="1" applyBorder="1"/>
    <xf numFmtId="0" fontId="2" fillId="5" borderId="4" xfId="0" applyFont="1" applyFill="1" applyBorder="1"/>
    <xf numFmtId="10" fontId="2" fillId="5" borderId="5" xfId="0" applyNumberFormat="1" applyFont="1" applyFill="1" applyBorder="1"/>
    <xf numFmtId="10" fontId="2" fillId="0" borderId="5" xfId="2" applyNumberFormat="1" applyFont="1" applyBorder="1"/>
    <xf numFmtId="0" fontId="2" fillId="0" borderId="6" xfId="0" applyFont="1" applyBorder="1"/>
    <xf numFmtId="0" fontId="2" fillId="0" borderId="7" xfId="0" applyFont="1" applyBorder="1"/>
    <xf numFmtId="10" fontId="2" fillId="0" borderId="7" xfId="2" applyNumberFormat="1" applyFont="1" applyBorder="1"/>
    <xf numFmtId="10" fontId="2" fillId="0" borderId="8" xfId="2" applyNumberFormat="1" applyFont="1" applyBorder="1"/>
    <xf numFmtId="165" fontId="2" fillId="0" borderId="8" xfId="1" applyNumberFormat="1" applyFont="1" applyBorder="1"/>
    <xf numFmtId="3" fontId="2" fillId="0" borderId="5" xfId="0" applyNumberFormat="1" applyFont="1" applyBorder="1"/>
    <xf numFmtId="44" fontId="2" fillId="0" borderId="5" xfId="1" applyFont="1" applyBorder="1"/>
    <xf numFmtId="10" fontId="2" fillId="5" borderId="5" xfId="2" applyNumberFormat="1" applyFont="1" applyFill="1" applyBorder="1"/>
    <xf numFmtId="166" fontId="2" fillId="5" borderId="5" xfId="0" applyNumberFormat="1" applyFont="1" applyFill="1" applyBorder="1"/>
    <xf numFmtId="10" fontId="7" fillId="0" borderId="4" xfId="0" applyNumberFormat="1" applyFont="1" applyBorder="1"/>
    <xf numFmtId="10" fontId="2" fillId="0" borderId="4" xfId="2" applyNumberFormat="1" applyFont="1" applyBorder="1"/>
    <xf numFmtId="165" fontId="2" fillId="0" borderId="4" xfId="1" applyNumberFormat="1" applyFont="1" applyBorder="1"/>
    <xf numFmtId="0" fontId="2" fillId="5" borderId="5" xfId="0" applyFont="1" applyFill="1" applyBorder="1"/>
    <xf numFmtId="0" fontId="2" fillId="0" borderId="9" xfId="0" applyFont="1" applyBorder="1"/>
    <xf numFmtId="0" fontId="2" fillId="0" borderId="10" xfId="0" applyFont="1" applyBorder="1"/>
    <xf numFmtId="0" fontId="2" fillId="0" borderId="11" xfId="0" applyFont="1" applyBorder="1"/>
    <xf numFmtId="0" fontId="2" fillId="0" borderId="8" xfId="0" applyFont="1" applyBorder="1"/>
    <xf numFmtId="0" fontId="8" fillId="6" borderId="1" xfId="0" applyFont="1" applyFill="1" applyBorder="1"/>
    <xf numFmtId="0" fontId="5" fillId="2" borderId="1" xfId="0" applyFont="1" applyFill="1" applyBorder="1"/>
    <xf numFmtId="0" fontId="5" fillId="2" borderId="9" xfId="0" applyFont="1" applyFill="1" applyBorder="1"/>
    <xf numFmtId="0" fontId="5" fillId="2" borderId="10" xfId="0" applyFont="1" applyFill="1" applyBorder="1"/>
    <xf numFmtId="0" fontId="5" fillId="2" borderId="11" xfId="0" applyFont="1" applyFill="1" applyBorder="1"/>
    <xf numFmtId="165" fontId="2" fillId="0" borderId="1" xfId="1" applyNumberFormat="1" applyFont="1" applyBorder="1"/>
    <xf numFmtId="165" fontId="2" fillId="0" borderId="2" xfId="1" applyNumberFormat="1" applyFont="1" applyBorder="1"/>
    <xf numFmtId="165" fontId="2" fillId="0" borderId="3" xfId="1" applyNumberFormat="1" applyFont="1" applyBorder="1"/>
    <xf numFmtId="165" fontId="2" fillId="0" borderId="6" xfId="1" applyNumberFormat="1" applyFont="1" applyBorder="1"/>
    <xf numFmtId="165" fontId="2" fillId="0" borderId="7" xfId="1" applyNumberFormat="1" applyFont="1" applyBorder="1"/>
    <xf numFmtId="10" fontId="2" fillId="0" borderId="2" xfId="2" applyNumberFormat="1" applyFont="1" applyBorder="1"/>
    <xf numFmtId="10" fontId="2" fillId="0" borderId="3" xfId="2" applyNumberFormat="1" applyFont="1" applyBorder="1"/>
    <xf numFmtId="10" fontId="2" fillId="0" borderId="2" xfId="0" applyNumberFormat="1" applyFont="1" applyBorder="1"/>
    <xf numFmtId="10" fontId="2" fillId="0" borderId="3" xfId="0" applyNumberFormat="1" applyFont="1" applyBorder="1"/>
    <xf numFmtId="165" fontId="2" fillId="0" borderId="2" xfId="0" applyNumberFormat="1" applyFont="1" applyBorder="1"/>
    <xf numFmtId="165" fontId="2" fillId="0" borderId="3" xfId="0" applyNumberFormat="1" applyFont="1" applyBorder="1"/>
    <xf numFmtId="0" fontId="5" fillId="2" borderId="4" xfId="0" applyFont="1" applyFill="1" applyBorder="1"/>
    <xf numFmtId="0" fontId="5" fillId="2" borderId="2" xfId="0" applyFont="1" applyFill="1" applyBorder="1"/>
    <xf numFmtId="0" fontId="5" fillId="2" borderId="0" xfId="0" applyFont="1" applyFill="1"/>
    <xf numFmtId="0" fontId="6" fillId="4" borderId="9" xfId="0" applyFont="1" applyFill="1" applyBorder="1"/>
    <xf numFmtId="0" fontId="6" fillId="4" borderId="10" xfId="0" applyFont="1" applyFill="1" applyBorder="1"/>
    <xf numFmtId="0" fontId="6" fillId="4" borderId="11" xfId="0" applyFont="1" applyFill="1" applyBorder="1"/>
    <xf numFmtId="0" fontId="2" fillId="4" borderId="1" xfId="0" applyFont="1" applyFill="1" applyBorder="1"/>
    <xf numFmtId="0" fontId="2" fillId="4" borderId="3" xfId="0" applyFont="1" applyFill="1" applyBorder="1"/>
    <xf numFmtId="0" fontId="2" fillId="4" borderId="4" xfId="0" applyFont="1" applyFill="1" applyBorder="1"/>
    <xf numFmtId="0" fontId="2" fillId="4" borderId="5" xfId="0" applyFont="1" applyFill="1" applyBorder="1"/>
    <xf numFmtId="0" fontId="2" fillId="4" borderId="6" xfId="0" applyFont="1" applyFill="1" applyBorder="1"/>
    <xf numFmtId="0" fontId="2" fillId="4" borderId="8" xfId="0" applyFont="1" applyFill="1" applyBorder="1"/>
    <xf numFmtId="0" fontId="2" fillId="4" borderId="2" xfId="0" applyFont="1" applyFill="1" applyBorder="1"/>
    <xf numFmtId="0" fontId="2" fillId="4" borderId="0" xfId="0" applyFont="1" applyFill="1"/>
    <xf numFmtId="10" fontId="2" fillId="4" borderId="14" xfId="2" applyNumberFormat="1" applyFont="1" applyFill="1" applyBorder="1"/>
    <xf numFmtId="10" fontId="2" fillId="4" borderId="13" xfId="2" applyNumberFormat="1" applyFont="1" applyFill="1" applyBorder="1"/>
    <xf numFmtId="10" fontId="2" fillId="4" borderId="12" xfId="2" applyNumberFormat="1" applyFont="1" applyFill="1" applyBorder="1"/>
    <xf numFmtId="166" fontId="2" fillId="4" borderId="9" xfId="0" applyNumberFormat="1" applyFont="1" applyFill="1" applyBorder="1"/>
    <xf numFmtId="166" fontId="2" fillId="4" borderId="10" xfId="0" applyNumberFormat="1" applyFont="1" applyFill="1" applyBorder="1"/>
    <xf numFmtId="166" fontId="2" fillId="4" borderId="11" xfId="0" applyNumberFormat="1" applyFont="1" applyFill="1" applyBorder="1"/>
    <xf numFmtId="166" fontId="2" fillId="4" borderId="14" xfId="0" applyNumberFormat="1" applyFont="1" applyFill="1" applyBorder="1"/>
    <xf numFmtId="166" fontId="2" fillId="4" borderId="13" xfId="0" applyNumberFormat="1" applyFont="1" applyFill="1" applyBorder="1"/>
    <xf numFmtId="166" fontId="2" fillId="4" borderId="12" xfId="0" applyNumberFormat="1" applyFont="1" applyFill="1" applyBorder="1"/>
    <xf numFmtId="10" fontId="2" fillId="4" borderId="9" xfId="2" applyNumberFormat="1" applyFont="1" applyFill="1" applyBorder="1"/>
    <xf numFmtId="10" fontId="2" fillId="4" borderId="10" xfId="2" applyNumberFormat="1" applyFont="1" applyFill="1" applyBorder="1"/>
    <xf numFmtId="10" fontId="2" fillId="4" borderId="11" xfId="2" applyNumberFormat="1" applyFont="1" applyFill="1" applyBorder="1"/>
    <xf numFmtId="0" fontId="6" fillId="3" borderId="4" xfId="0" applyFont="1" applyFill="1" applyBorder="1"/>
    <xf numFmtId="0" fontId="6" fillId="3" borderId="5" xfId="0" applyFont="1" applyFill="1" applyBorder="1"/>
    <xf numFmtId="165" fontId="6" fillId="3" borderId="5" xfId="0" applyNumberFormat="1" applyFont="1" applyFill="1" applyBorder="1"/>
    <xf numFmtId="0" fontId="6" fillId="3" borderId="6" xfId="0" applyFont="1" applyFill="1" applyBorder="1"/>
    <xf numFmtId="0" fontId="6" fillId="3" borderId="8" xfId="0" applyFont="1" applyFill="1" applyBorder="1"/>
    <xf numFmtId="166" fontId="6" fillId="3" borderId="8" xfId="0" applyNumberFormat="1" applyFont="1" applyFill="1" applyBorder="1"/>
    <xf numFmtId="164" fontId="6" fillId="3" borderId="8" xfId="2" applyNumberFormat="1" applyFont="1" applyFill="1" applyBorder="1"/>
    <xf numFmtId="166" fontId="6" fillId="3" borderId="5" xfId="0" applyNumberFormat="1" applyFont="1" applyFill="1" applyBorder="1"/>
    <xf numFmtId="10" fontId="6" fillId="3" borderId="8" xfId="2" applyNumberFormat="1" applyFont="1" applyFill="1" applyBorder="1"/>
    <xf numFmtId="0" fontId="6" fillId="3" borderId="0" xfId="0" applyFont="1" applyFill="1"/>
    <xf numFmtId="165" fontId="6" fillId="3" borderId="4" xfId="1" applyNumberFormat="1" applyFont="1" applyFill="1" applyBorder="1"/>
    <xf numFmtId="165" fontId="6" fillId="3" borderId="0" xfId="1" applyNumberFormat="1" applyFont="1" applyFill="1" applyBorder="1"/>
    <xf numFmtId="165" fontId="6" fillId="3" borderId="5" xfId="1" applyNumberFormat="1" applyFont="1" applyFill="1" applyBorder="1"/>
    <xf numFmtId="0" fontId="2" fillId="5" borderId="1" xfId="0" applyFont="1" applyFill="1" applyBorder="1"/>
    <xf numFmtId="0" fontId="2" fillId="5" borderId="3" xfId="0" applyFont="1" applyFill="1" applyBorder="1"/>
    <xf numFmtId="10" fontId="2" fillId="0" borderId="4" xfId="0" applyNumberFormat="1" applyFont="1" applyBorder="1"/>
    <xf numFmtId="0" fontId="6" fillId="3" borderId="7" xfId="0" applyFont="1" applyFill="1" applyBorder="1"/>
    <xf numFmtId="166" fontId="6" fillId="3" borderId="7" xfId="0" applyNumberFormat="1" applyFont="1" applyFill="1" applyBorder="1"/>
    <xf numFmtId="165" fontId="6" fillId="3" borderId="6" xfId="1" applyNumberFormat="1" applyFont="1" applyFill="1" applyBorder="1"/>
    <xf numFmtId="165" fontId="6" fillId="3" borderId="7" xfId="1" applyNumberFormat="1" applyFont="1" applyFill="1" applyBorder="1"/>
    <xf numFmtId="165" fontId="6" fillId="3" borderId="8" xfId="1" applyNumberFormat="1" applyFont="1" applyFill="1" applyBorder="1"/>
    <xf numFmtId="10" fontId="6" fillId="3" borderId="7" xfId="2" applyNumberFormat="1" applyFont="1" applyFill="1" applyBorder="1"/>
    <xf numFmtId="165" fontId="2" fillId="0" borderId="1" xfId="0" applyNumberFormat="1" applyFont="1" applyBorder="1"/>
    <xf numFmtId="165" fontId="2" fillId="5" borderId="4" xfId="0" applyNumberFormat="1" applyFont="1" applyFill="1" applyBorder="1"/>
    <xf numFmtId="165" fontId="2" fillId="0" borderId="0" xfId="0" applyNumberFormat="1" applyFont="1"/>
    <xf numFmtId="165" fontId="2" fillId="0" borderId="4" xfId="0" applyNumberFormat="1" applyFont="1" applyBorder="1"/>
    <xf numFmtId="10" fontId="2" fillId="5" borderId="4" xfId="0" applyNumberFormat="1" applyFont="1" applyFill="1" applyBorder="1"/>
    <xf numFmtId="10" fontId="2" fillId="5" borderId="0" xfId="0" applyNumberFormat="1" applyFont="1" applyFill="1"/>
    <xf numFmtId="166" fontId="6" fillId="3" borderId="6" xfId="0" applyNumberFormat="1" applyFont="1" applyFill="1" applyBorder="1"/>
    <xf numFmtId="0" fontId="2" fillId="0" borderId="0" xfId="0" applyFont="1" applyBorder="1"/>
    <xf numFmtId="165" fontId="2" fillId="0" borderId="0" xfId="0" applyNumberFormat="1" applyFont="1" applyBorder="1"/>
  </cellXfs>
  <cellStyles count="8">
    <cellStyle name="Comma 2" xfId="4" xr:uid="{FE387761-5A72-4BC1-A066-2445D7E96A2A}"/>
    <cellStyle name="Currency" xfId="1" builtinId="4"/>
    <cellStyle name="Currency 2" xfId="5" xr:uid="{F87AEB60-8CEE-49B8-8EC0-BEFB82E45560}"/>
    <cellStyle name="Normal" xfId="0" builtinId="0"/>
    <cellStyle name="Normal 2" xfId="7" xr:uid="{D772B4E4-6ADB-4B86-970D-81EFC65E17FB}"/>
    <cellStyle name="Normal 3" xfId="3" xr:uid="{1291FA96-F7B2-4262-9649-11B5B22EA603}"/>
    <cellStyle name="Percent" xfId="2" builtinId="5"/>
    <cellStyle name="Percent 2" xfId="6" xr:uid="{372EDCF3-A89C-4DDA-95AA-645BB5888922}"/>
  </cellStyles>
  <dxfs count="0"/>
  <tableStyles count="0" defaultTableStyle="TableStyleMedium2" defaultPivotStyle="PivotStyleLight16"/>
  <colors>
    <mruColors>
      <color rgb="FFDAEE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0A4161-3FBC-4DCF-9D74-A22C94920F81}">
  <dimension ref="A1:S39"/>
  <sheetViews>
    <sheetView tabSelected="1" topLeftCell="A7" workbookViewId="0">
      <selection activeCell="O31" sqref="O31"/>
    </sheetView>
  </sheetViews>
  <sheetFormatPr defaultColWidth="14" defaultRowHeight="15" x14ac:dyDescent="0.25"/>
  <cols>
    <col min="1" max="16384" width="14" style="1"/>
  </cols>
  <sheetData>
    <row r="1" spans="1:19" x14ac:dyDescent="0.25">
      <c r="A1" s="3" t="s">
        <v>0</v>
      </c>
      <c r="B1" s="3"/>
      <c r="C1" s="3" t="s">
        <v>1</v>
      </c>
      <c r="D1" s="4">
        <v>46156</v>
      </c>
    </row>
    <row r="2" spans="1:19" x14ac:dyDescent="0.25">
      <c r="A2" s="2" t="s">
        <v>11</v>
      </c>
    </row>
    <row r="4" spans="1:19" x14ac:dyDescent="0.25">
      <c r="A4" s="37" t="s">
        <v>72</v>
      </c>
      <c r="B4" s="37"/>
      <c r="C4" s="37"/>
      <c r="E4" s="37" t="s">
        <v>61</v>
      </c>
      <c r="F4" s="37"/>
      <c r="G4" s="39" t="s">
        <v>33</v>
      </c>
      <c r="H4" s="40"/>
      <c r="I4" s="41"/>
      <c r="J4" s="40" t="s">
        <v>34</v>
      </c>
      <c r="K4" s="40"/>
      <c r="L4" s="40"/>
      <c r="M4" s="40"/>
      <c r="N4" s="41"/>
      <c r="P4" s="39" t="s">
        <v>52</v>
      </c>
      <c r="Q4" s="40"/>
      <c r="R4" s="41"/>
    </row>
    <row r="5" spans="1:19" x14ac:dyDescent="0.25">
      <c r="A5" s="59" t="s">
        <v>30</v>
      </c>
      <c r="B5" s="60"/>
      <c r="C5" s="12">
        <v>2203668</v>
      </c>
      <c r="E5" s="9"/>
      <c r="G5" s="56">
        <v>2023</v>
      </c>
      <c r="H5" s="57">
        <v>2024</v>
      </c>
      <c r="I5" s="58">
        <v>2025</v>
      </c>
      <c r="J5" s="57">
        <v>2026</v>
      </c>
      <c r="K5" s="57">
        <v>2027</v>
      </c>
      <c r="L5" s="57">
        <v>2028</v>
      </c>
      <c r="M5" s="57">
        <v>2029</v>
      </c>
      <c r="N5" s="58">
        <v>2030</v>
      </c>
      <c r="P5" s="92" t="s">
        <v>53</v>
      </c>
      <c r="Q5" s="93"/>
      <c r="R5" s="28">
        <f>C24</f>
        <v>9.6775235570245535</v>
      </c>
    </row>
    <row r="6" spans="1:19" x14ac:dyDescent="0.25">
      <c r="A6" s="61" t="s">
        <v>8</v>
      </c>
      <c r="B6" s="62"/>
      <c r="C6" s="12">
        <v>1046318</v>
      </c>
      <c r="E6" s="59" t="s">
        <v>35</v>
      </c>
      <c r="F6" s="60"/>
      <c r="G6" s="42">
        <v>38691609</v>
      </c>
      <c r="H6" s="43">
        <v>40612308</v>
      </c>
      <c r="I6" s="44">
        <v>42724369</v>
      </c>
      <c r="J6" s="43">
        <f>I6*(1+J25)</f>
        <v>44895763.912330776</v>
      </c>
      <c r="K6" s="43">
        <f>J6*(1+K25)</f>
        <v>47177516.355402283</v>
      </c>
      <c r="L6" s="43">
        <f>K6*(1+L25)</f>
        <v>49575235.066953585</v>
      </c>
      <c r="M6" s="43">
        <f>L6*(1+M25)</f>
        <v>52094813.83947999</v>
      </c>
      <c r="N6" s="44">
        <f>M6*(1+N25)</f>
        <v>54742446.007666387</v>
      </c>
      <c r="P6" s="61" t="s">
        <v>54</v>
      </c>
      <c r="Q6" s="62"/>
      <c r="R6" s="16">
        <f>N7</f>
        <v>4164185.1546285362</v>
      </c>
    </row>
    <row r="7" spans="1:19" x14ac:dyDescent="0.25">
      <c r="A7" s="61" t="s">
        <v>10</v>
      </c>
      <c r="B7" s="62"/>
      <c r="C7" s="12">
        <f>SUM(C5:C6)</f>
        <v>3249986</v>
      </c>
      <c r="E7" s="79" t="s">
        <v>10</v>
      </c>
      <c r="F7" s="80"/>
      <c r="G7" s="89"/>
      <c r="H7" s="90"/>
      <c r="I7" s="91">
        <f>C7</f>
        <v>3249986</v>
      </c>
      <c r="J7" s="90">
        <f t="shared" ref="J7:N8" si="0">J26*J$6</f>
        <v>3415161.1267653885</v>
      </c>
      <c r="K7" s="90">
        <f t="shared" si="0"/>
        <v>3588731.004308769</v>
      </c>
      <c r="L7" s="90">
        <f t="shared" si="0"/>
        <v>3771122.2818599897</v>
      </c>
      <c r="M7" s="90">
        <f t="shared" si="0"/>
        <v>3962783.2923855754</v>
      </c>
      <c r="N7" s="91">
        <f t="shared" si="0"/>
        <v>4164185.1546285362</v>
      </c>
      <c r="P7" s="61" t="s">
        <v>55</v>
      </c>
      <c r="Q7" s="62"/>
      <c r="R7" s="16">
        <f>R6*R5</f>
        <v>40298999.929729588</v>
      </c>
    </row>
    <row r="8" spans="1:19" x14ac:dyDescent="0.25">
      <c r="A8" s="61"/>
      <c r="B8" s="62"/>
      <c r="C8" s="10"/>
      <c r="E8" s="61" t="s">
        <v>8</v>
      </c>
      <c r="F8" s="62"/>
      <c r="G8" s="31">
        <v>848793</v>
      </c>
      <c r="H8" s="11">
        <v>971703</v>
      </c>
      <c r="I8" s="12">
        <v>1046318</v>
      </c>
      <c r="J8" s="11">
        <f t="shared" si="0"/>
        <v>1052860.5593847809</v>
      </c>
      <c r="K8" s="11">
        <f t="shared" si="0"/>
        <v>1106370.4441543336</v>
      </c>
      <c r="L8" s="11">
        <f t="shared" si="0"/>
        <v>1162599.879715801</v>
      </c>
      <c r="M8" s="11">
        <f t="shared" si="0"/>
        <v>1221687.0827097471</v>
      </c>
      <c r="N8" s="12">
        <f t="shared" si="0"/>
        <v>1283777.2944073423</v>
      </c>
      <c r="P8" s="61" t="s">
        <v>59</v>
      </c>
      <c r="Q8" s="62"/>
      <c r="R8" s="16">
        <f>N36</f>
        <v>7876067.7588829538</v>
      </c>
    </row>
    <row r="9" spans="1:19" x14ac:dyDescent="0.25">
      <c r="A9" s="61" t="s">
        <v>17</v>
      </c>
      <c r="B9" s="62"/>
      <c r="C9" s="12">
        <v>14401</v>
      </c>
      <c r="E9" s="61" t="s">
        <v>30</v>
      </c>
      <c r="F9" s="62"/>
      <c r="G9" s="31"/>
      <c r="H9" s="11"/>
      <c r="I9" s="12">
        <f>I7-I8</f>
        <v>2203668</v>
      </c>
      <c r="J9" s="11">
        <f>J7-J8</f>
        <v>2362300.5673806076</v>
      </c>
      <c r="K9" s="11">
        <f t="shared" ref="K9:N9" si="1">K7-K8</f>
        <v>2482360.5601544352</v>
      </c>
      <c r="L9" s="11">
        <f t="shared" si="1"/>
        <v>2608522.402144189</v>
      </c>
      <c r="M9" s="11">
        <f t="shared" si="1"/>
        <v>2741096.209675828</v>
      </c>
      <c r="N9" s="12">
        <f t="shared" si="1"/>
        <v>2880407.8602211941</v>
      </c>
      <c r="P9" s="79" t="s">
        <v>56</v>
      </c>
      <c r="Q9" s="80"/>
      <c r="R9" s="81">
        <f>R7-R8</f>
        <v>32422932.170846634</v>
      </c>
    </row>
    <row r="10" spans="1:19" x14ac:dyDescent="0.25">
      <c r="A10" s="61" t="s">
        <v>15</v>
      </c>
      <c r="B10" s="62"/>
      <c r="C10" s="12">
        <v>4565881</v>
      </c>
      <c r="E10" s="61" t="s">
        <v>7</v>
      </c>
      <c r="F10" s="62"/>
      <c r="G10" s="31"/>
      <c r="H10" s="11"/>
      <c r="I10" s="12">
        <v>230567</v>
      </c>
      <c r="J10" s="11">
        <f>J38</f>
        <v>1243119.645</v>
      </c>
      <c r="K10" s="11">
        <f>K38</f>
        <v>1127767.5497432391</v>
      </c>
      <c r="L10" s="11">
        <f>L38</f>
        <v>1011510.5022376392</v>
      </c>
      <c r="M10" s="11">
        <f>M38</f>
        <v>895473.7408334791</v>
      </c>
      <c r="N10" s="12">
        <f>N38</f>
        <v>780959.44488049403</v>
      </c>
      <c r="P10" s="79" t="s">
        <v>58</v>
      </c>
      <c r="Q10" s="80"/>
      <c r="R10" s="86">
        <f>R9/C33</f>
        <v>1.8574180404968965</v>
      </c>
    </row>
    <row r="11" spans="1:19" x14ac:dyDescent="0.25">
      <c r="A11" s="61" t="s">
        <v>16</v>
      </c>
      <c r="B11" s="62"/>
      <c r="C11" s="12">
        <f>C9+C10</f>
        <v>4580282</v>
      </c>
      <c r="E11" s="61" t="s">
        <v>31</v>
      </c>
      <c r="F11" s="62"/>
      <c r="G11" s="31"/>
      <c r="H11" s="11"/>
      <c r="I11" s="12">
        <f>I9-I10</f>
        <v>1973101</v>
      </c>
      <c r="J11" s="11">
        <f>J9-J10</f>
        <v>1119180.9223806076</v>
      </c>
      <c r="K11" s="11">
        <f t="shared" ref="K11:N11" si="2">K9-K10</f>
        <v>1354593.0104111962</v>
      </c>
      <c r="L11" s="11">
        <f t="shared" si="2"/>
        <v>1597011.8999065498</v>
      </c>
      <c r="M11" s="11">
        <f t="shared" si="2"/>
        <v>1845622.468842349</v>
      </c>
      <c r="N11" s="12">
        <f t="shared" si="2"/>
        <v>2099448.4153407002</v>
      </c>
      <c r="P11" s="82" t="s">
        <v>57</v>
      </c>
      <c r="Q11" s="83"/>
      <c r="R11" s="87">
        <f>R10^(1/5) - 1</f>
        <v>0.13183190463538685</v>
      </c>
    </row>
    <row r="12" spans="1:19" x14ac:dyDescent="0.25">
      <c r="A12" s="61" t="s">
        <v>14</v>
      </c>
      <c r="B12" s="62"/>
      <c r="C12" s="12">
        <v>1138501</v>
      </c>
      <c r="E12" s="61" t="s">
        <v>9</v>
      </c>
      <c r="F12" s="62"/>
      <c r="G12" s="31"/>
      <c r="H12" s="11"/>
      <c r="I12" s="12">
        <v>452281</v>
      </c>
      <c r="J12" s="11">
        <f>J11*J28</f>
        <v>256542.50175496517</v>
      </c>
      <c r="K12" s="11">
        <f>K11*K28</f>
        <v>310504.47054752201</v>
      </c>
      <c r="L12" s="11">
        <f>L11*L28</f>
        <v>366072.56247989042</v>
      </c>
      <c r="M12" s="11">
        <f>M11*M28</f>
        <v>423059.93247709388</v>
      </c>
      <c r="N12" s="12">
        <f>N11*N28</f>
        <v>481242.78926355374</v>
      </c>
    </row>
    <row r="13" spans="1:19" x14ac:dyDescent="0.25">
      <c r="A13" s="63" t="s">
        <v>18</v>
      </c>
      <c r="B13" s="64"/>
      <c r="C13" s="24">
        <f>C11-C12</f>
        <v>3441781</v>
      </c>
      <c r="E13" s="63" t="s">
        <v>6</v>
      </c>
      <c r="F13" s="64"/>
      <c r="G13" s="45"/>
      <c r="H13" s="46"/>
      <c r="I13" s="24">
        <f>I11-I12</f>
        <v>1520820</v>
      </c>
      <c r="J13" s="46">
        <f>J11-J12</f>
        <v>862638.42062564241</v>
      </c>
      <c r="K13" s="46">
        <f t="shared" ref="K13:N13" si="3">K11-K12</f>
        <v>1044088.5398636742</v>
      </c>
      <c r="L13" s="46">
        <f t="shared" si="3"/>
        <v>1230939.3374266594</v>
      </c>
      <c r="M13" s="46">
        <f t="shared" si="3"/>
        <v>1422562.5363652552</v>
      </c>
      <c r="N13" s="24">
        <f t="shared" si="3"/>
        <v>1618205.6260771465</v>
      </c>
      <c r="P13" s="39" t="s">
        <v>65</v>
      </c>
      <c r="Q13" s="40"/>
      <c r="R13" s="40"/>
      <c r="S13" s="41"/>
    </row>
    <row r="14" spans="1:19" x14ac:dyDescent="0.25">
      <c r="E14" s="20"/>
      <c r="F14" s="21"/>
      <c r="G14" s="42"/>
      <c r="H14" s="43"/>
      <c r="I14" s="44"/>
      <c r="J14" s="11"/>
      <c r="K14" s="11"/>
      <c r="L14" s="11"/>
      <c r="M14" s="11"/>
      <c r="N14" s="12"/>
      <c r="P14" s="29">
        <f>R11</f>
        <v>0.13183190463538685</v>
      </c>
      <c r="Q14" s="70">
        <v>8</v>
      </c>
      <c r="R14" s="71">
        <v>9.7029274232086173</v>
      </c>
      <c r="S14" s="72">
        <v>11</v>
      </c>
    </row>
    <row r="15" spans="1:19" x14ac:dyDescent="0.25">
      <c r="A15" s="39" t="s">
        <v>29</v>
      </c>
      <c r="B15" s="40"/>
      <c r="C15" s="41"/>
      <c r="E15" s="38" t="s">
        <v>44</v>
      </c>
      <c r="F15" s="54"/>
      <c r="G15" s="56">
        <v>2023</v>
      </c>
      <c r="H15" s="57">
        <v>2024</v>
      </c>
      <c r="I15" s="58">
        <v>2025</v>
      </c>
      <c r="J15" s="57">
        <v>2026</v>
      </c>
      <c r="K15" s="57">
        <v>2027</v>
      </c>
      <c r="L15" s="57">
        <v>2028</v>
      </c>
      <c r="M15" s="57">
        <v>2029</v>
      </c>
      <c r="N15" s="58">
        <v>2030</v>
      </c>
      <c r="P15" s="67">
        <v>0.2</v>
      </c>
      <c r="Q15" s="13">
        <f t="dataTable" ref="Q15:S17" dt2D="1" dtr="1" r1="R5" r2="C19" ca="1"/>
        <v>9.2917193997480885E-2</v>
      </c>
      <c r="R15" s="13">
        <v>0.14801102690760226</v>
      </c>
      <c r="S15" s="19">
        <v>0.18382952168958822</v>
      </c>
    </row>
    <row r="16" spans="1:19" x14ac:dyDescent="0.25">
      <c r="A16" s="59" t="s">
        <v>12</v>
      </c>
      <c r="B16" s="60"/>
      <c r="C16" s="25">
        <f>220226320</f>
        <v>220226320</v>
      </c>
      <c r="E16" s="59" t="s">
        <v>6</v>
      </c>
      <c r="F16" s="65"/>
      <c r="G16" s="42"/>
      <c r="H16" s="43"/>
      <c r="I16" s="44">
        <f>I13</f>
        <v>1520820</v>
      </c>
      <c r="J16" s="43">
        <f t="shared" ref="J16:N16" si="4">J13</f>
        <v>862638.42062564241</v>
      </c>
      <c r="K16" s="43">
        <f t="shared" si="4"/>
        <v>1044088.5398636742</v>
      </c>
      <c r="L16" s="43">
        <f t="shared" si="4"/>
        <v>1230939.3374266594</v>
      </c>
      <c r="M16" s="43">
        <f t="shared" si="4"/>
        <v>1422562.5363652552</v>
      </c>
      <c r="N16" s="44">
        <f t="shared" si="4"/>
        <v>1618205.6260771465</v>
      </c>
      <c r="P16" s="68">
        <v>0.25</v>
      </c>
      <c r="Q16" s="13">
        <v>7.8216725008971588E-2</v>
      </c>
      <c r="R16" s="13">
        <v>0.1325695089296528</v>
      </c>
      <c r="S16" s="19">
        <v>0.16790622094287144</v>
      </c>
    </row>
    <row r="17" spans="1:19" x14ac:dyDescent="0.25">
      <c r="A17" s="61" t="s">
        <v>3</v>
      </c>
      <c r="B17" s="62"/>
      <c r="C17" s="26">
        <v>101.75</v>
      </c>
      <c r="E17" s="61" t="s">
        <v>8</v>
      </c>
      <c r="F17" s="66"/>
      <c r="G17" s="31">
        <f>G8</f>
        <v>848793</v>
      </c>
      <c r="H17" s="11">
        <f t="shared" ref="H17:N17" si="5">H8</f>
        <v>971703</v>
      </c>
      <c r="I17" s="12">
        <f t="shared" si="5"/>
        <v>1046318</v>
      </c>
      <c r="J17" s="11">
        <f t="shared" si="5"/>
        <v>1052860.5593847809</v>
      </c>
      <c r="K17" s="11">
        <f t="shared" si="5"/>
        <v>1106370.4441543336</v>
      </c>
      <c r="L17" s="11">
        <f t="shared" si="5"/>
        <v>1162599.879715801</v>
      </c>
      <c r="M17" s="11">
        <f t="shared" si="5"/>
        <v>1221687.0827097471</v>
      </c>
      <c r="N17" s="12">
        <f t="shared" si="5"/>
        <v>1283777.2944073423</v>
      </c>
      <c r="P17" s="69">
        <v>0.3</v>
      </c>
      <c r="Q17" s="22">
        <v>6.4628176577460117E-2</v>
      </c>
      <c r="R17" s="22">
        <v>0.1182959632990046</v>
      </c>
      <c r="S17" s="23">
        <v>0.15318733384100991</v>
      </c>
    </row>
    <row r="18" spans="1:19" x14ac:dyDescent="0.25">
      <c r="A18" s="61" t="s">
        <v>2</v>
      </c>
      <c r="B18" s="62"/>
      <c r="C18" s="16">
        <f>(C16*C17)/1000</f>
        <v>22408028.059999999</v>
      </c>
      <c r="E18" s="61" t="s">
        <v>45</v>
      </c>
      <c r="F18" s="66"/>
      <c r="G18" s="31">
        <v>1700222</v>
      </c>
      <c r="H18" s="11">
        <v>1309888</v>
      </c>
      <c r="I18" s="12">
        <v>1241162</v>
      </c>
      <c r="J18" s="11">
        <f>J$6*J29</f>
        <v>1304241.991940391</v>
      </c>
      <c r="K18" s="11">
        <f>K$6*K29</f>
        <v>1370527.9194340778</v>
      </c>
      <c r="L18" s="11">
        <f>L$6*L29</f>
        <v>1440182.7188172222</v>
      </c>
      <c r="M18" s="11">
        <f>M$6*M29</f>
        <v>1513377.6073939598</v>
      </c>
      <c r="N18" s="12">
        <f>N$6*N29</f>
        <v>1590292.5043028074</v>
      </c>
    </row>
    <row r="19" spans="1:19" x14ac:dyDescent="0.25">
      <c r="A19" s="17" t="s">
        <v>63</v>
      </c>
      <c r="B19" s="32"/>
      <c r="C19" s="27">
        <v>0.25</v>
      </c>
      <c r="E19" s="61" t="s">
        <v>49</v>
      </c>
      <c r="F19" s="66"/>
      <c r="G19" s="31"/>
      <c r="H19" s="11">
        <v>2215092</v>
      </c>
      <c r="I19" s="12">
        <v>1327899</v>
      </c>
      <c r="K19" s="11"/>
      <c r="L19" s="11"/>
      <c r="M19" s="11"/>
      <c r="N19" s="12"/>
      <c r="P19" s="39" t="s">
        <v>62</v>
      </c>
      <c r="Q19" s="40"/>
      <c r="R19" s="40"/>
      <c r="S19" s="41"/>
    </row>
    <row r="20" spans="1:19" x14ac:dyDescent="0.25">
      <c r="A20" s="61" t="s">
        <v>13</v>
      </c>
      <c r="B20" s="62"/>
      <c r="C20" s="16">
        <f>C18*(1+C19)</f>
        <v>28010035.074999999</v>
      </c>
      <c r="E20" s="61" t="s">
        <v>46</v>
      </c>
      <c r="F20" s="66"/>
      <c r="G20" s="31"/>
      <c r="H20" s="11"/>
      <c r="I20" s="12">
        <f>I19-H19</f>
        <v>-887193</v>
      </c>
      <c r="J20" s="11">
        <f>J$6*J30</f>
        <v>-745826.48553892004</v>
      </c>
      <c r="K20" s="11">
        <f>K$6*K30</f>
        <v>-587798.90607018792</v>
      </c>
      <c r="L20" s="11">
        <f>L$6*L30</f>
        <v>-411781.87113547075</v>
      </c>
      <c r="M20" s="11">
        <f>M$6*M30</f>
        <v>-216354.99953054788</v>
      </c>
      <c r="N20" s="12">
        <f>N$6*N30</f>
        <v>0</v>
      </c>
      <c r="P20" s="29">
        <f>R11</f>
        <v>0.13183190463538685</v>
      </c>
      <c r="Q20" s="70">
        <v>8</v>
      </c>
      <c r="R20" s="71">
        <v>9.7029274232086173</v>
      </c>
      <c r="S20" s="72">
        <v>11</v>
      </c>
    </row>
    <row r="21" spans="1:19" x14ac:dyDescent="0.25">
      <c r="A21" s="61" t="s">
        <v>18</v>
      </c>
      <c r="B21" s="62"/>
      <c r="C21" s="16">
        <f>C13</f>
        <v>3441781</v>
      </c>
      <c r="E21" s="61" t="s">
        <v>47</v>
      </c>
      <c r="F21" s="66"/>
      <c r="G21" s="31"/>
      <c r="H21" s="11"/>
      <c r="I21" s="12"/>
      <c r="J21" s="11">
        <f>J16+J17-J18-J20</f>
        <v>1357083.4736089525</v>
      </c>
      <c r="K21" s="11">
        <f t="shared" ref="K21:N21" si="6">K16+K17-K18-K20</f>
        <v>1367729.9706541179</v>
      </c>
      <c r="L21" s="11">
        <f t="shared" si="6"/>
        <v>1365138.3694607089</v>
      </c>
      <c r="M21" s="11">
        <f t="shared" si="6"/>
        <v>1347227.0112115904</v>
      </c>
      <c r="N21" s="12">
        <f t="shared" si="6"/>
        <v>1311690.4161816814</v>
      </c>
      <c r="P21" s="73">
        <v>4</v>
      </c>
      <c r="Q21" s="13">
        <f t="dataTable" ref="Q21:S24" dt2D="1" dtr="1" r1="R5" r2="C31" ca="1"/>
        <v>7.715819728971729E-2</v>
      </c>
      <c r="R21" s="13">
        <v>0.127450257553543</v>
      </c>
      <c r="S21" s="19">
        <v>0.16049350496992698</v>
      </c>
    </row>
    <row r="22" spans="1:19" x14ac:dyDescent="0.25">
      <c r="A22" s="61" t="s">
        <v>19</v>
      </c>
      <c r="B22" s="62"/>
      <c r="C22" s="16">
        <f>C20+C21</f>
        <v>31451816.074999999</v>
      </c>
      <c r="E22" s="82" t="s">
        <v>68</v>
      </c>
      <c r="F22" s="95"/>
      <c r="G22" s="97"/>
      <c r="H22" s="98"/>
      <c r="I22" s="99"/>
      <c r="J22" s="100">
        <f>J21/J7</f>
        <v>0.39737026255457847</v>
      </c>
      <c r="K22" s="100">
        <f t="shared" ref="K22:N22" si="7">K21/K7</f>
        <v>0.38111799658764295</v>
      </c>
      <c r="L22" s="100">
        <f t="shared" si="7"/>
        <v>0.36199790604175175</v>
      </c>
      <c r="M22" s="100">
        <f t="shared" si="7"/>
        <v>0.33996989282766621</v>
      </c>
      <c r="N22" s="87">
        <f t="shared" si="7"/>
        <v>0.31499329820234423</v>
      </c>
      <c r="P22" s="74">
        <v>4.5</v>
      </c>
      <c r="Q22" s="13">
        <v>7.8216725008971588E-2</v>
      </c>
      <c r="R22" s="13">
        <v>0.1325695089296528</v>
      </c>
      <c r="S22" s="19">
        <v>0.16790622094287144</v>
      </c>
    </row>
    <row r="23" spans="1:19" x14ac:dyDescent="0.25">
      <c r="A23" s="61" t="s">
        <v>10</v>
      </c>
      <c r="B23" s="62"/>
      <c r="C23" s="16">
        <f>C7</f>
        <v>3249986</v>
      </c>
      <c r="E23" s="6"/>
      <c r="F23" s="7"/>
      <c r="G23" s="33"/>
      <c r="H23" s="34"/>
      <c r="I23" s="35"/>
      <c r="J23" s="7"/>
      <c r="K23" s="7"/>
      <c r="L23" s="7"/>
      <c r="M23" s="7"/>
      <c r="N23" s="8"/>
      <c r="P23" s="74">
        <v>5</v>
      </c>
      <c r="Q23" s="13">
        <v>7.9487062095407124E-2</v>
      </c>
      <c r="R23" s="13">
        <v>0.13861920615831069</v>
      </c>
      <c r="S23" s="19">
        <v>0.17659769347908982</v>
      </c>
    </row>
    <row r="24" spans="1:19" x14ac:dyDescent="0.25">
      <c r="A24" s="82" t="s">
        <v>20</v>
      </c>
      <c r="B24" s="83"/>
      <c r="C24" s="84">
        <f>C22/C23</f>
        <v>9.6775235570245535</v>
      </c>
      <c r="E24" s="38" t="s">
        <v>32</v>
      </c>
      <c r="F24" s="54"/>
      <c r="G24" s="56">
        <v>2023</v>
      </c>
      <c r="H24" s="57">
        <v>2024</v>
      </c>
      <c r="I24" s="58">
        <v>2025</v>
      </c>
      <c r="J24" s="57">
        <v>2026</v>
      </c>
      <c r="K24" s="57">
        <v>2027</v>
      </c>
      <c r="L24" s="57">
        <v>2028</v>
      </c>
      <c r="M24" s="57">
        <v>2029</v>
      </c>
      <c r="N24" s="58">
        <v>2030</v>
      </c>
      <c r="P24" s="75">
        <v>5.5</v>
      </c>
      <c r="Q24" s="22">
        <v>8.1039879378585367E-2</v>
      </c>
      <c r="R24" s="22">
        <v>0.14588113484958543</v>
      </c>
      <c r="S24" s="23">
        <v>0.18693761220068339</v>
      </c>
    </row>
    <row r="25" spans="1:19" x14ac:dyDescent="0.25">
      <c r="E25" s="59" t="s">
        <v>36</v>
      </c>
      <c r="F25" s="60"/>
      <c r="G25" s="6"/>
      <c r="H25" s="47">
        <f>(H6-G6)/G6</f>
        <v>4.9641228412082836E-2</v>
      </c>
      <c r="I25" s="48">
        <f>(I6-H6)/H6</f>
        <v>5.2005441306118332E-2</v>
      </c>
      <c r="J25" s="49">
        <f>AVERAGE($H25:$I25)</f>
        <v>5.082333485910058E-2</v>
      </c>
      <c r="K25" s="49">
        <f>AVERAGE($H25:$I25)</f>
        <v>5.082333485910058E-2</v>
      </c>
      <c r="L25" s="49">
        <f>AVERAGE($H25:$I25)</f>
        <v>5.082333485910058E-2</v>
      </c>
      <c r="M25" s="49">
        <f>AVERAGE($H25:$I25)</f>
        <v>5.082333485910058E-2</v>
      </c>
      <c r="N25" s="50">
        <f>AVERAGE($H25:$I25)</f>
        <v>5.082333485910058E-2</v>
      </c>
    </row>
    <row r="26" spans="1:19" x14ac:dyDescent="0.25">
      <c r="A26" s="39" t="s">
        <v>24</v>
      </c>
      <c r="B26" s="40"/>
      <c r="C26" s="41"/>
      <c r="E26" s="61" t="s">
        <v>39</v>
      </c>
      <c r="F26" s="62"/>
      <c r="G26" s="9"/>
      <c r="I26" s="19">
        <f>I7/I6</f>
        <v>7.6068671722220163E-2</v>
      </c>
      <c r="J26" s="14">
        <f>I$26</f>
        <v>7.6068671722220163E-2</v>
      </c>
      <c r="K26" s="14">
        <f>J$26</f>
        <v>7.6068671722220163E-2</v>
      </c>
      <c r="L26" s="14">
        <f>K$26</f>
        <v>7.6068671722220163E-2</v>
      </c>
      <c r="M26" s="14">
        <f>L$26</f>
        <v>7.6068671722220163E-2</v>
      </c>
      <c r="N26" s="15">
        <f>M$26</f>
        <v>7.6068671722220163E-2</v>
      </c>
      <c r="P26" s="39" t="s">
        <v>66</v>
      </c>
      <c r="Q26" s="40"/>
      <c r="R26" s="40"/>
      <c r="S26" s="41"/>
    </row>
    <row r="27" spans="1:19" x14ac:dyDescent="0.25">
      <c r="A27" s="59" t="s">
        <v>19</v>
      </c>
      <c r="B27" s="60"/>
      <c r="C27" s="16">
        <f>C22</f>
        <v>31451816.074999999</v>
      </c>
      <c r="D27" s="3"/>
      <c r="E27" s="61" t="s">
        <v>38</v>
      </c>
      <c r="F27" s="62"/>
      <c r="G27" s="30">
        <f>G8/G6</f>
        <v>2.1937392161695834E-2</v>
      </c>
      <c r="H27" s="13">
        <f>H8/H6</f>
        <v>2.3926318100414286E-2</v>
      </c>
      <c r="I27" s="19">
        <f>I8/I6</f>
        <v>2.4489957944141903E-2</v>
      </c>
      <c r="J27" s="14">
        <f>AVERAGE($G27:$I27)</f>
        <v>2.3451222735417342E-2</v>
      </c>
      <c r="K27" s="14">
        <f>AVERAGE($G27:$I27)</f>
        <v>2.3451222735417342E-2</v>
      </c>
      <c r="L27" s="14">
        <f>AVERAGE($G27:$I27)</f>
        <v>2.3451222735417342E-2</v>
      </c>
      <c r="M27" s="14">
        <f>AVERAGE($G27:$I27)</f>
        <v>2.3451222735417342E-2</v>
      </c>
      <c r="N27" s="15">
        <f>AVERAGE($G27:$I27)</f>
        <v>2.3451222735417342E-2</v>
      </c>
      <c r="P27" s="29">
        <f>R11</f>
        <v>0.13183190463538685</v>
      </c>
      <c r="Q27" s="76">
        <v>0.2</v>
      </c>
      <c r="R27" s="77">
        <v>0.25</v>
      </c>
      <c r="S27" s="78">
        <v>0.3</v>
      </c>
    </row>
    <row r="28" spans="1:19" x14ac:dyDescent="0.25">
      <c r="A28" s="17" t="s">
        <v>25</v>
      </c>
      <c r="B28" s="32"/>
      <c r="C28" s="27">
        <v>0.02</v>
      </c>
      <c r="E28" s="61" t="s">
        <v>37</v>
      </c>
      <c r="F28" s="62"/>
      <c r="G28" s="9"/>
      <c r="I28" s="19">
        <f>I12/I11</f>
        <v>0.22922344066522696</v>
      </c>
      <c r="J28" s="14">
        <f>I$28</f>
        <v>0.22922344066522696</v>
      </c>
      <c r="K28" s="14">
        <f>J$28</f>
        <v>0.22922344066522696</v>
      </c>
      <c r="L28" s="14">
        <f>K$28</f>
        <v>0.22922344066522696</v>
      </c>
      <c r="M28" s="14">
        <f>L$28</f>
        <v>0.22922344066522696</v>
      </c>
      <c r="N28" s="15">
        <f>M$28</f>
        <v>0.22922344066522696</v>
      </c>
      <c r="P28" s="73">
        <v>4</v>
      </c>
      <c r="Q28" s="13">
        <f t="dataTable" ref="Q28:S31" dt2D="1" dtr="1" r1="C19" r2="C31"/>
        <v>0.13115577872067496</v>
      </c>
      <c r="R28" s="13">
        <v>0.12676318823488741</v>
      </c>
      <c r="S28" s="19">
        <v>0.12280888015991764</v>
      </c>
    </row>
    <row r="29" spans="1:19" x14ac:dyDescent="0.25">
      <c r="A29" s="61" t="s">
        <v>26</v>
      </c>
      <c r="B29" s="62"/>
      <c r="C29" s="16">
        <f>C27*(1+C28)</f>
        <v>32080852.396499999</v>
      </c>
      <c r="E29" s="61" t="s">
        <v>48</v>
      </c>
      <c r="F29" s="62"/>
      <c r="G29" s="30">
        <f>G18/G6</f>
        <v>4.3942912790212472E-2</v>
      </c>
      <c r="H29" s="13">
        <f>H18/H6</f>
        <v>3.2253473503648204E-2</v>
      </c>
      <c r="I29" s="19">
        <f>I18/I6</f>
        <v>2.9050446596414332E-2</v>
      </c>
      <c r="J29" s="13">
        <f t="shared" ref="J29:N30" si="8">$I29</f>
        <v>2.9050446596414332E-2</v>
      </c>
      <c r="K29" s="13">
        <f t="shared" si="8"/>
        <v>2.9050446596414332E-2</v>
      </c>
      <c r="L29" s="13">
        <f t="shared" si="8"/>
        <v>2.9050446596414332E-2</v>
      </c>
      <c r="M29" s="13">
        <f t="shared" si="8"/>
        <v>2.9050446596414332E-2</v>
      </c>
      <c r="N29" s="19">
        <f t="shared" si="8"/>
        <v>2.9050446596414332E-2</v>
      </c>
      <c r="P29" s="74">
        <v>4.5</v>
      </c>
      <c r="Q29" s="13">
        <v>0.13691922524660227</v>
      </c>
      <c r="R29" s="13">
        <v>0.13183190463538685</v>
      </c>
      <c r="S29" s="19">
        <v>0.12729322270516708</v>
      </c>
    </row>
    <row r="30" spans="1:19" x14ac:dyDescent="0.25">
      <c r="A30" s="61"/>
      <c r="B30" s="62"/>
      <c r="C30" s="10"/>
      <c r="E30" s="63" t="s">
        <v>51</v>
      </c>
      <c r="F30" s="64"/>
      <c r="G30" s="20"/>
      <c r="H30" s="21"/>
      <c r="I30" s="23">
        <f>I20/I6</f>
        <v>-2.0765502704089087E-2</v>
      </c>
      <c r="J30" s="22">
        <f>I30-($I30/5)</f>
        <v>-1.661240216327127E-2</v>
      </c>
      <c r="K30" s="22">
        <f t="shared" ref="K30:N30" si="9">J30-($I30/5)</f>
        <v>-1.2459301622453452E-2</v>
      </c>
      <c r="L30" s="22">
        <f t="shared" si="9"/>
        <v>-8.3062010816356349E-3</v>
      </c>
      <c r="M30" s="22">
        <f t="shared" si="9"/>
        <v>-4.1531005408178175E-3</v>
      </c>
      <c r="N30" s="23">
        <f t="shared" si="9"/>
        <v>0</v>
      </c>
      <c r="P30" s="74">
        <v>5</v>
      </c>
      <c r="Q30" s="13">
        <v>0.14380305943617855</v>
      </c>
      <c r="R30" s="13">
        <v>0.13782296061587429</v>
      </c>
      <c r="S30" s="19">
        <v>0.1325446932964629</v>
      </c>
    </row>
    <row r="31" spans="1:19" x14ac:dyDescent="0.25">
      <c r="A31" s="17" t="s">
        <v>21</v>
      </c>
      <c r="B31" s="32"/>
      <c r="C31" s="28">
        <v>4.5</v>
      </c>
      <c r="E31" s="20"/>
      <c r="F31" s="36"/>
      <c r="G31" s="9"/>
      <c r="I31" s="10"/>
      <c r="J31" s="6"/>
      <c r="K31" s="7"/>
      <c r="L31" s="7"/>
      <c r="M31" s="7"/>
      <c r="N31" s="8"/>
      <c r="P31" s="75">
        <v>5.5</v>
      </c>
      <c r="Q31" s="22">
        <v>0.15217327241765344</v>
      </c>
      <c r="R31" s="22">
        <v>0.14501599224416784</v>
      </c>
      <c r="S31" s="23">
        <v>0.13878034095816516</v>
      </c>
    </row>
    <row r="32" spans="1:19" x14ac:dyDescent="0.25">
      <c r="A32" s="79" t="s">
        <v>23</v>
      </c>
      <c r="B32" s="80"/>
      <c r="C32" s="81">
        <f>C7*C31</f>
        <v>14624937</v>
      </c>
      <c r="E32" s="53" t="s">
        <v>43</v>
      </c>
      <c r="F32" s="55"/>
      <c r="G32" s="56">
        <v>2023</v>
      </c>
      <c r="H32" s="57">
        <v>2024</v>
      </c>
      <c r="I32" s="58">
        <v>2025</v>
      </c>
      <c r="J32" s="57">
        <v>2026</v>
      </c>
      <c r="K32" s="57">
        <v>2027</v>
      </c>
      <c r="L32" s="57">
        <v>2028</v>
      </c>
      <c r="M32" s="57">
        <v>2029</v>
      </c>
      <c r="N32" s="58">
        <v>2030</v>
      </c>
    </row>
    <row r="33" spans="1:16" x14ac:dyDescent="0.25">
      <c r="A33" s="79" t="s">
        <v>60</v>
      </c>
      <c r="B33" s="80"/>
      <c r="C33" s="81">
        <f>C29-C32</f>
        <v>17455915.396499999</v>
      </c>
      <c r="E33" s="59" t="s">
        <v>41</v>
      </c>
      <c r="F33" s="65"/>
      <c r="G33" s="6"/>
      <c r="H33" s="7"/>
      <c r="I33" s="8"/>
      <c r="J33" s="101">
        <f>C32</f>
        <v>14624937</v>
      </c>
      <c r="K33" s="51">
        <f>J36</f>
        <v>13267853.526391048</v>
      </c>
      <c r="L33" s="51">
        <f>K36</f>
        <v>11900123.555736931</v>
      </c>
      <c r="M33" s="51">
        <f>L36</f>
        <v>10534985.186276224</v>
      </c>
      <c r="N33" s="52">
        <f>M36</f>
        <v>9187758.1750646345</v>
      </c>
      <c r="P33" s="1" t="s">
        <v>4</v>
      </c>
    </row>
    <row r="34" spans="1:16" x14ac:dyDescent="0.25">
      <c r="A34" s="61" t="s">
        <v>27</v>
      </c>
      <c r="B34" s="62"/>
      <c r="C34" s="16">
        <f>C32+C33</f>
        <v>32080852.396499999</v>
      </c>
      <c r="E34" s="17" t="s">
        <v>70</v>
      </c>
      <c r="F34" s="5"/>
      <c r="G34" s="17"/>
      <c r="H34" s="5"/>
      <c r="I34" s="18"/>
      <c r="J34" s="102">
        <f>C32*0.01</f>
        <v>146249.37</v>
      </c>
      <c r="K34" s="103">
        <f>J34</f>
        <v>146249.37</v>
      </c>
      <c r="L34" s="103">
        <f t="shared" ref="L34:N34" si="10">K34</f>
        <v>146249.37</v>
      </c>
      <c r="M34" s="103">
        <f t="shared" si="10"/>
        <v>146249.37</v>
      </c>
      <c r="N34" s="16">
        <f t="shared" si="10"/>
        <v>146249.37</v>
      </c>
      <c r="P34" s="1" t="s">
        <v>5</v>
      </c>
    </row>
    <row r="35" spans="1:16" x14ac:dyDescent="0.25">
      <c r="A35" s="82" t="s">
        <v>28</v>
      </c>
      <c r="B35" s="83"/>
      <c r="C35" s="85">
        <f>C32/C34</f>
        <v>0.45587744425380577</v>
      </c>
      <c r="E35" s="61" t="s">
        <v>69</v>
      </c>
      <c r="F35" s="66"/>
      <c r="G35" s="9"/>
      <c r="I35" s="10"/>
      <c r="J35" s="104">
        <f>J21-J34</f>
        <v>1210834.1036089524</v>
      </c>
      <c r="K35" s="103">
        <f t="shared" ref="K35:N35" si="11">K21-K34</f>
        <v>1221480.6006541178</v>
      </c>
      <c r="L35" s="103">
        <f t="shared" si="11"/>
        <v>1218888.9994607088</v>
      </c>
      <c r="M35" s="103">
        <f t="shared" si="11"/>
        <v>1200977.6412115903</v>
      </c>
      <c r="N35" s="16">
        <f t="shared" si="11"/>
        <v>1165441.0461816816</v>
      </c>
      <c r="P35" s="5" t="s">
        <v>22</v>
      </c>
    </row>
    <row r="36" spans="1:16" x14ac:dyDescent="0.25">
      <c r="E36" s="61" t="s">
        <v>42</v>
      </c>
      <c r="F36" s="66"/>
      <c r="G36" s="9"/>
      <c r="I36" s="108"/>
      <c r="J36" s="104">
        <f>MAX(J33-J34-J35,0)</f>
        <v>13267853.526391048</v>
      </c>
      <c r="K36" s="109">
        <f t="shared" ref="K36:N36" si="12">MAX(K33-K34-K35,0)</f>
        <v>11900123.555736931</v>
      </c>
      <c r="L36" s="109">
        <f t="shared" si="12"/>
        <v>10534985.186276224</v>
      </c>
      <c r="M36" s="109">
        <f t="shared" si="12"/>
        <v>9187758.1750646345</v>
      </c>
      <c r="N36" s="16">
        <f t="shared" si="12"/>
        <v>7876067.7588829538</v>
      </c>
      <c r="P36" s="1" t="s">
        <v>50</v>
      </c>
    </row>
    <row r="37" spans="1:16" x14ac:dyDescent="0.25">
      <c r="E37" s="17" t="s">
        <v>40</v>
      </c>
      <c r="F37" s="5"/>
      <c r="G37" s="17"/>
      <c r="H37" s="5"/>
      <c r="I37" s="32"/>
      <c r="J37" s="105">
        <v>8.5000000000000006E-2</v>
      </c>
      <c r="K37" s="106">
        <f>$J37</f>
        <v>8.5000000000000006E-2</v>
      </c>
      <c r="L37" s="106">
        <f>$J37</f>
        <v>8.5000000000000006E-2</v>
      </c>
      <c r="M37" s="106">
        <f>$J37</f>
        <v>8.5000000000000006E-2</v>
      </c>
      <c r="N37" s="18">
        <f>$J37</f>
        <v>8.5000000000000006E-2</v>
      </c>
      <c r="P37" s="88" t="s">
        <v>64</v>
      </c>
    </row>
    <row r="38" spans="1:16" x14ac:dyDescent="0.25">
      <c r="E38" s="61" t="s">
        <v>7</v>
      </c>
      <c r="F38" s="66"/>
      <c r="G38" s="94"/>
      <c r="I38" s="16">
        <f>I10</f>
        <v>230567</v>
      </c>
      <c r="J38" s="104">
        <f>J33*J37</f>
        <v>1243119.645</v>
      </c>
      <c r="K38" s="103">
        <f>K33*K37</f>
        <v>1127767.5497432391</v>
      </c>
      <c r="L38" s="103">
        <f>L33*L37</f>
        <v>1011510.5022376392</v>
      </c>
      <c r="M38" s="103">
        <f>M33*M37</f>
        <v>895473.7408334791</v>
      </c>
      <c r="N38" s="16">
        <f>N33*N37</f>
        <v>780959.44488049403</v>
      </c>
      <c r="P38" s="1" t="s">
        <v>71</v>
      </c>
    </row>
    <row r="39" spans="1:16" x14ac:dyDescent="0.25">
      <c r="E39" s="82" t="s">
        <v>67</v>
      </c>
      <c r="F39" s="95"/>
      <c r="G39" s="82"/>
      <c r="H39" s="95"/>
      <c r="I39" s="83"/>
      <c r="J39" s="107">
        <f>J7/J38</f>
        <v>2.7472505486512429</v>
      </c>
      <c r="K39" s="96">
        <f t="shared" ref="K39:N39" si="13">K7/K38</f>
        <v>3.1821548732500968</v>
      </c>
      <c r="L39" s="96">
        <f t="shared" si="13"/>
        <v>3.7282087269658635</v>
      </c>
      <c r="M39" s="96">
        <f t="shared" si="13"/>
        <v>4.4253484068635442</v>
      </c>
      <c r="N39" s="84">
        <f t="shared" si="13"/>
        <v>5.3321400770890977</v>
      </c>
      <c r="P39" s="1" t="s">
        <v>73</v>
      </c>
    </row>
  </sheetData>
  <pageMargins left="0.7" right="0.7" top="0.75" bottom="0.75" header="0.3" footer="0.3"/>
  <pageSetup orientation="portrait" r:id="rId1"/>
  <ignoredErrors>
    <ignoredError sqref="J10:N10 J12:N12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Troy Shen</dc:creator>
  <cp:lastModifiedBy>Troy Shen</cp:lastModifiedBy>
  <dcterms:created xsi:type="dcterms:W3CDTF">2026-05-14T09:41:22Z</dcterms:created>
  <dcterms:modified xsi:type="dcterms:W3CDTF">2026-06-06T01:30:30Z</dcterms:modified>
</cp:coreProperties>
</file>